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3155B5E5-DB3E-CD4C-A2D6-920B4F4B7CA0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D60" i="4"/>
  <c r="E64" i="4" s="1"/>
  <c r="D44" i="4"/>
  <c r="D43" i="4"/>
  <c r="D40" i="4"/>
  <c r="E47" i="4" s="1"/>
  <c r="D34" i="4"/>
  <c r="E37" i="4" s="1"/>
  <c r="D24" i="4"/>
  <c r="D23" i="4"/>
  <c r="D22" i="4"/>
  <c r="D14" i="4"/>
  <c r="E15" i="4" s="1"/>
  <c r="F16" i="3"/>
  <c r="E16" i="3"/>
  <c r="E15" i="3"/>
  <c r="E14" i="3"/>
  <c r="E13" i="3"/>
  <c r="E12" i="3"/>
  <c r="F9" i="3"/>
  <c r="H20" i="2"/>
  <c r="G20" i="2"/>
  <c r="F20" i="2"/>
  <c r="H19" i="2"/>
  <c r="G19" i="2"/>
  <c r="F19" i="2"/>
  <c r="H18" i="2"/>
  <c r="G18" i="2"/>
  <c r="F18" i="2"/>
  <c r="H17" i="2"/>
  <c r="G17" i="2"/>
  <c r="F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D6" i="2" l="1"/>
  <c r="D7" i="2"/>
  <c r="E25" i="4"/>
  <c r="E27" i="4" s="1"/>
  <c r="E49" i="4"/>
  <c r="D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<sst xmlns="http://schemas.openxmlformats.org/spreadsheetml/2006/main" count="75" uniqueCount="66">
  <si>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</si>
  <si>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</si>
  <si>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</si>
  <si>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</si>
  <si>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</si>
  <si>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</si>
  <si>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</si>
  <si>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</si>
  <si>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</si>
  <si>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</si>
  <si>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</si>
  <si>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</si>
  <si>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</si>
  <si>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(14.01)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</si>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</sst>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2"/>
      <color rgb="FF000000"/>
      <name val="Arial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1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11" xfId="0" applyFont="1" applyBorder="1"/>
    <xf numFmtId="0" fontId="14" fillId="0" borderId="15" xfId="0" applyFont="1" applyBorder="1"/>
    <xf numFmtId="0" fontId="6" fillId="0" borderId="16" xfId="0" applyFont="1" applyBorder="1"/>
    <xf numFmtId="0" fontId="14" fillId="0" borderId="17" xfId="0" applyFont="1" applyBorder="1"/>
    <xf numFmtId="0" fontId="14" fillId="2" borderId="16" xfId="0" applyFont="1" applyFill="1" applyBorder="1"/>
    <xf numFmtId="166" fontId="16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7" fillId="2" borderId="11" xfId="0" applyFont="1" applyFill="1" applyBorder="1"/>
    <xf numFmtId="167" fontId="10" fillId="2" borderId="11" xfId="0" applyNumberFormat="1" applyFont="1" applyFill="1" applyBorder="1" applyAlignment="1">
      <alignment horizontal="right"/>
    </xf>
    <xf numFmtId="167" fontId="10" fillId="2" borderId="16" xfId="0" applyNumberFormat="1" applyFont="1" applyFill="1" applyBorder="1" applyAlignment="1">
      <alignment horizontal="right"/>
    </xf>
    <xf numFmtId="0" fontId="14" fillId="2" borderId="18" xfId="0" applyFont="1" applyFill="1" applyBorder="1"/>
    <xf numFmtId="167" fontId="1" fillId="2" borderId="18" xfId="0" applyNumberFormat="1" applyFont="1" applyFill="1" applyBorder="1"/>
    <xf numFmtId="167" fontId="10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4" fillId="2" borderId="11" xfId="0" applyFont="1" applyFill="1" applyBorder="1"/>
    <xf numFmtId="166" fontId="16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5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5" sqref="C5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35.164062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2016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12050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-11773.049999999997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276.95000000000255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asc""))"),850)</f>
        <v>850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"),42690)</f>
        <v>42690</v>
      </c>
      <c r="G11" s="14" t="str">
        <f ca="1">IFERROR(__xludf.DUMMYFUNCTION("""COMPUTED_VALUE"""),"Order Indexfond MSCI-W, 87 Stück")</f>
        <v>Order Indexfond MSCI-W, 87 Stück</v>
      </c>
      <c r="H11" s="12">
        <f ca="1">IFERROR(__xludf.DUMMYFUNCTION("""COMPUTED_VALUE"""),-3477.3)</f>
        <v>-3477.3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asc""))"),0)</f>
        <v>0</v>
      </c>
      <c r="E12" s="21"/>
      <c r="F12" s="13">
        <f ca="1">IFERROR(__xludf.DUMMYFUNCTION("""COMPUTED_VALUE"""),42690)</f>
        <v>42690</v>
      </c>
      <c r="G12" s="14" t="str">
        <f ca="1">IFERROR(__xludf.DUMMYFUNCTION("""COMPUTED_VALUE"""),"Order Indexfond MSCI-W, 87 Stück -&gt; Gebühr")</f>
        <v>Order Indexfond MSCI-W, 87 Stück -&gt; Gebühr</v>
      </c>
      <c r="H12" s="12">
        <f ca="1">IFERROR(__xludf.DUMMYFUNCTION("""COMPUTED_VALUE"""),-4.95)</f>
        <v>-4.95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asc""))"),11200)</f>
        <v>11200</v>
      </c>
      <c r="E13" s="22"/>
      <c r="F13" s="13">
        <f ca="1">IFERROR(__xludf.DUMMYFUNCTION("""COMPUTED_VALUE"""),42696)</f>
        <v>42696</v>
      </c>
      <c r="G13" s="14" t="str">
        <f ca="1">IFERROR(__xludf.DUMMYFUNCTION("""COMPUTED_VALUE"""),"Order Indexfond MSCI-SC, 64 Stück")</f>
        <v>Order Indexfond MSCI-SC, 64 Stück</v>
      </c>
      <c r="H13" s="12">
        <f ca="1">IFERROR(__xludf.DUMMYFUNCTION("""COMPUTED_VALUE"""),-3534.66)</f>
        <v>-3534.66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IFERROR(__xludf.DUMMYFUNCTION("""COMPUTED_VALUE"""),42696)</f>
        <v>42696</v>
      </c>
      <c r="G14" s="14" t="str">
        <f ca="1">IFERROR(__xludf.DUMMYFUNCTION("""COMPUTED_VALUE"""),"Order Indexfond MSCI-SC, 64 Stück -&gt; Gebühr")</f>
        <v>Order Indexfond MSCI-SC, 64 Stück -&gt; Gebühr</v>
      </c>
      <c r="H14" s="12">
        <f ca="1">IFERROR(__xludf.DUMMYFUNCTION("""COMPUTED_VALUE"""),-13.79)</f>
        <v>-13.79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IFERROR(__xludf.DUMMYFUNCTION("""COMPUTED_VALUE"""),42696)</f>
        <v>42696</v>
      </c>
      <c r="G15" s="14" t="str">
        <f ca="1">IFERROR(__xludf.DUMMYFUNCTION("""COMPUTED_VALUE"""),"Order Indexfond MSCI-VL, 142 Stück")</f>
        <v>Order Indexfond MSCI-VL, 142 Stück</v>
      </c>
      <c r="H15" s="12">
        <f ca="1">IFERROR(__xludf.DUMMYFUNCTION("""COMPUTED_VALUE"""),-3510.24)</f>
        <v>-3510.24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IFERROR(__xludf.DUMMYFUNCTION("""COMPUTED_VALUE"""),42696)</f>
        <v>42696</v>
      </c>
      <c r="G16" s="14" t="str">
        <f ca="1">IFERROR(__xludf.DUMMYFUNCTION("""COMPUTED_VALUE"""),"Order Indexfond MSCI-VL, 142 Stück -&gt; Gebühr")</f>
        <v>Order Indexfond MSCI-VL, 142 Stück -&gt; Gebühr</v>
      </c>
      <c r="H16" s="12">
        <f ca="1">IFERROR(__xludf.DUMMYFUNCTION("""COMPUTED_VALUE"""),-15.23)</f>
        <v>-15.23</v>
      </c>
      <c r="I16" s="25"/>
    </row>
    <row r="17" spans="1:9" ht="15" customHeight="1" x14ac:dyDescent="0.25">
      <c r="A17" s="2"/>
      <c r="B17" s="13" t="str">
        <f ca="1">IFERROR(__xludf.DUMMYFUNCTION("QUERY(IMPORTRANGE(""11AczYCsQ0sDyNfN8X5ruefP9YvpHQgFPRpFJZPAhMDs"",""Cash!A2:L""),""Select Col1, Col12, Col6 where Col3  matches '""&amp;$C4&amp;""' and Col7 != 'Donation' and Col6 &gt; 0 order by Col1 asc"")
"),"#N/A")</f>
        <v>#N/A</v>
      </c>
      <c r="C17" s="14"/>
      <c r="D17" s="12"/>
      <c r="E17" s="22"/>
      <c r="F17" s="13">
        <f ca="1">IFERROR(__xludf.DUMMYFUNCTION("""COMPUTED_VALUE"""),42698)</f>
        <v>42698</v>
      </c>
      <c r="G17" s="14" t="str">
        <f ca="1">IFERROR(__xludf.DUMMYFUNCTION("""COMPUTED_VALUE"""),"Netcup: Hosting-Webseite (nc-495967)")</f>
        <v>Netcup: Hosting-Webseite (nc-495967)</v>
      </c>
      <c r="H17" s="12">
        <f ca="1">IFERROR(__xludf.DUMMYFUNCTION("""COMPUTED_VALUE"""),-23.88)</f>
        <v>-23.88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IFERROR(__xludf.DUMMYFUNCTION("""COMPUTED_VALUE"""),42702)</f>
        <v>42702</v>
      </c>
      <c r="G18" s="14" t="str">
        <f ca="1">IFERROR(__xludf.DUMMYFUNCTION("""COMPUTED_VALUE"""),"Netcup: Domain gfdw.eu (nc-497617)")</f>
        <v>Netcup: Domain gfdw.eu (nc-497617)</v>
      </c>
      <c r="H18" s="12">
        <f ca="1">IFERROR(__xludf.DUMMYFUNCTION("""COMPUTED_VALUE"""),-9)</f>
        <v>-9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>
        <f ca="1">IFERROR(__xludf.DUMMYFUNCTION("""COMPUTED_VALUE"""),42723)</f>
        <v>42723</v>
      </c>
      <c r="G19" s="14" t="str">
        <f ca="1">IFERROR(__xludf.DUMMYFUNCTION("""COMPUTED_VALUE"""),"Spende - EA - GIveDirectly")</f>
        <v>Spende - EA - GIveDirectly</v>
      </c>
      <c r="H19" s="12">
        <f ca="1">IFERROR(__xludf.DUMMYFUNCTION("""COMPUTED_VALUE"""),-592)</f>
        <v>-592</v>
      </c>
      <c r="I19" s="25"/>
    </row>
    <row r="20" spans="1:9" ht="16.5" customHeight="1" x14ac:dyDescent="0.25">
      <c r="A20" s="2"/>
      <c r="B20" s="13"/>
      <c r="C20" s="14"/>
      <c r="D20" s="12"/>
      <c r="E20" s="22"/>
      <c r="F20" s="13">
        <f ca="1">IFERROR(__xludf.DUMMYFUNCTION("""COMPUTED_VALUE"""),42723)</f>
        <v>42723</v>
      </c>
      <c r="G20" s="14" t="str">
        <f ca="1">IFERROR(__xludf.DUMMYFUNCTION("""COMPUTED_VALUE"""),"Spende - EA - Deworm the World Initiative")</f>
        <v>Spende - EA - Deworm the World Initiative</v>
      </c>
      <c r="H20" s="12">
        <f ca="1">IFERROR(__xludf.DUMMYFUNCTION("""COMPUTED_VALUE"""),-592)</f>
        <v>-592</v>
      </c>
      <c r="I20" s="25"/>
    </row>
    <row r="21" spans="1:9" ht="16.5" customHeight="1" x14ac:dyDescent="0.25">
      <c r="A21" s="2"/>
      <c r="B21" s="13"/>
      <c r="C21" s="14"/>
      <c r="D21" s="12"/>
      <c r="E21" s="22"/>
      <c r="F21" s="13"/>
      <c r="G21" s="14"/>
      <c r="H21" s="12"/>
      <c r="I21" s="25"/>
    </row>
    <row r="22" spans="1:9" ht="17" x14ac:dyDescent="0.25">
      <c r="A22" s="2"/>
      <c r="B22" s="13"/>
      <c r="C22" s="14"/>
      <c r="D22" s="12"/>
      <c r="E22" s="22"/>
      <c r="F22" s="13"/>
      <c r="G22" s="14"/>
      <c r="H22" s="12"/>
      <c r="I22" s="25"/>
    </row>
    <row r="23" spans="1:9" ht="17" x14ac:dyDescent="0.25">
      <c r="A23" s="2"/>
      <c r="B23" s="13"/>
      <c r="C23" s="14"/>
      <c r="D23" s="12"/>
      <c r="E23" s="22"/>
      <c r="F23" s="13"/>
      <c r="G23" s="14"/>
      <c r="H23" s="12"/>
      <c r="I23" s="25"/>
    </row>
    <row r="24" spans="1:9" ht="17" x14ac:dyDescent="0.25">
      <c r="A24" s="2"/>
      <c r="B24" s="13"/>
      <c r="C24" s="14"/>
      <c r="D24" s="12"/>
      <c r="E24" s="22"/>
      <c r="F24" s="13"/>
      <c r="G24" s="14"/>
      <c r="H24" s="12"/>
      <c r="I24" s="25"/>
    </row>
    <row r="25" spans="1:9" ht="17" x14ac:dyDescent="0.25">
      <c r="A25" s="2"/>
      <c r="B25" s="13"/>
      <c r="C25" s="14"/>
      <c r="D25" s="12"/>
      <c r="E25" s="22"/>
      <c r="F25" s="13"/>
      <c r="G25" s="14"/>
      <c r="H25" s="12"/>
      <c r="I25" s="25"/>
    </row>
    <row r="26" spans="1:9" ht="17" x14ac:dyDescent="0.25">
      <c r="A26" s="2"/>
      <c r="B26" s="13"/>
      <c r="C26" s="14"/>
      <c r="D26" s="12"/>
      <c r="E26" s="22"/>
      <c r="F26" s="13"/>
      <c r="G26" s="14"/>
      <c r="H26" s="12"/>
      <c r="I26" s="25"/>
    </row>
    <row r="27" spans="1:9" ht="17" x14ac:dyDescent="0.25">
      <c r="A27" s="2"/>
      <c r="B27" s="13"/>
      <c r="C27" s="14"/>
      <c r="D27" s="12"/>
      <c r="E27" s="22"/>
      <c r="F27" s="13"/>
      <c r="G27" s="14"/>
      <c r="H27" s="12"/>
      <c r="I27" s="25"/>
    </row>
    <row r="28" spans="1:9" ht="17" x14ac:dyDescent="0.25">
      <c r="A28" s="2"/>
      <c r="B28" s="13"/>
      <c r="C28" s="14"/>
      <c r="D28" s="12"/>
      <c r="E28" s="22"/>
      <c r="F28" s="13"/>
      <c r="G28" s="14"/>
      <c r="H28" s="12"/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8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3302.77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3296.02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3295.91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43.91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9938.61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14</v>
      </c>
      <c r="D12" s="59"/>
      <c r="E12" s="59">
        <f t="shared" ref="E12:E16" si="0">F12-F5</f>
        <v>366.88999999999987</v>
      </c>
      <c r="F12" s="44">
        <v>3669.66</v>
      </c>
      <c r="G12" s="35"/>
    </row>
    <row r="13" spans="1:7" ht="17.25" customHeight="1" x14ac:dyDescent="0.3">
      <c r="A13" s="35"/>
      <c r="B13" s="42"/>
      <c r="C13" s="43" t="s">
        <v>15</v>
      </c>
      <c r="D13" s="59"/>
      <c r="E13" s="59">
        <f t="shared" si="0"/>
        <v>359.02</v>
      </c>
      <c r="F13" s="45">
        <v>3655.04</v>
      </c>
      <c r="G13" s="35"/>
    </row>
    <row r="14" spans="1:7" ht="17.25" customHeight="1" x14ac:dyDescent="0.3">
      <c r="A14" s="35"/>
      <c r="B14" s="42"/>
      <c r="C14" s="43" t="s">
        <v>16</v>
      </c>
      <c r="D14" s="59"/>
      <c r="E14" s="59">
        <f t="shared" si="0"/>
        <v>337.87000000000035</v>
      </c>
      <c r="F14" s="45">
        <v>3633.78</v>
      </c>
      <c r="G14" s="35"/>
    </row>
    <row r="15" spans="1:7" ht="17.25" customHeight="1" x14ac:dyDescent="0.3">
      <c r="A15" s="35"/>
      <c r="B15" s="55" t="s">
        <v>17</v>
      </c>
      <c r="C15" s="55"/>
      <c r="D15" s="60"/>
      <c r="E15" s="60">
        <f t="shared" si="0"/>
        <v>233.04</v>
      </c>
      <c r="F15" s="48">
        <v>276.95</v>
      </c>
      <c r="G15" s="35"/>
    </row>
    <row r="16" spans="1:7" ht="17.25" customHeight="1" x14ac:dyDescent="0.3">
      <c r="A16" s="35"/>
      <c r="B16" s="49" t="s">
        <v>18</v>
      </c>
      <c r="C16" s="50"/>
      <c r="D16" s="51"/>
      <c r="E16" s="61">
        <f t="shared" si="0"/>
        <v>1296.8199999999997</v>
      </c>
      <c r="F16" s="51">
        <f>SUM(F12:F15)</f>
        <v>11235.43</v>
      </c>
      <c r="G16" s="35"/>
    </row>
    <row r="17" spans="1:7" ht="19" x14ac:dyDescent="0.3">
      <c r="A17" s="35"/>
      <c r="B17" s="35"/>
      <c r="C17" s="35"/>
      <c r="D17" s="35"/>
      <c r="E17" s="35"/>
      <c r="F17" s="35"/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21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22</v>
      </c>
      <c r="C4" s="63"/>
      <c r="D4" s="63"/>
      <c r="E4" s="63"/>
      <c r="F4" s="63"/>
    </row>
    <row r="5" spans="1:6" ht="17" x14ac:dyDescent="0.25">
      <c r="A5" s="63"/>
      <c r="B5" s="64">
        <v>2016</v>
      </c>
      <c r="C5" s="63" t="s">
        <v>23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24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25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26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27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asc""))"),12050)</f>
        <v>12050</v>
      </c>
      <c r="E14" s="77"/>
      <c r="F14" s="73"/>
    </row>
    <row r="15" spans="1:6" ht="17" x14ac:dyDescent="0.25">
      <c r="A15" s="63"/>
      <c r="B15" s="78" t="s">
        <v>28</v>
      </c>
      <c r="C15" s="71"/>
      <c r="D15" s="76"/>
      <c r="E15" s="79">
        <f ca="1">SUM(D13:D14)</f>
        <v>12050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29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30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31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32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33</v>
      </c>
      <c r="D22" s="76">
        <f ca="1">IFERROR(__xludf.DUMMYFUNCTION("SUM(QUERY(IMPORTRANGE(""11AczYCsQ0sDyNfN8X5ruefP9YvpHQgFPRpFJZPAhMDs"",""Cash!A1:L""),""Select Col6 where Col3  matches '""&amp;$B5&amp;""' and Col9  = 'IT' order by Col1 asc""))"),-32.8799999999999)</f>
        <v>-32.879999999999903</v>
      </c>
      <c r="E22" s="77"/>
      <c r="F22" s="81"/>
    </row>
    <row r="23" spans="1:6" ht="18" customHeight="1" x14ac:dyDescent="0.25">
      <c r="A23" s="63"/>
      <c r="B23" s="74"/>
      <c r="C23" s="71" t="s">
        <v>34</v>
      </c>
      <c r="D23" s="76">
        <f ca="1">IFERROR(__xludf.DUMMYFUNCTION("SUM(QUERY(IMPORTRANGE(""11AczYCsQ0sDyNfN8X5ruefP9YvpHQgFPRpFJZPAhMDs"",""Cash!A1:L""),""Select Col6 where Col3  matches '""&amp;$B5&amp;""' and Col9  = 'Legal'""))"),0)</f>
        <v>0</v>
      </c>
      <c r="E23" s="77"/>
      <c r="F23" s="73"/>
    </row>
    <row r="24" spans="1:6" ht="18" customHeight="1" x14ac:dyDescent="0.25">
      <c r="A24" s="63"/>
      <c r="B24" s="74"/>
      <c r="C24" s="71" t="s">
        <v>35</v>
      </c>
      <c r="D24" s="76">
        <f ca="1">IFERROR(__xludf.DUMMYFUNCTION("SUM(QUERY(IMPORTRANGE(""11AczYCsQ0sDyNfN8X5ruefP9YvpHQgFPRpFJZPAhMDs"",""Cash!A1:L""),""Select Col6 where Col3  matches '""&amp;$B5&amp;""' and Col9  = 'Outbound Donation'""))"),-1184)</f>
        <v>-1184</v>
      </c>
      <c r="E24" s="77"/>
      <c r="F24" s="73"/>
    </row>
    <row r="25" spans="1:6" ht="18" customHeight="1" x14ac:dyDescent="0.25">
      <c r="A25" s="63"/>
      <c r="B25" s="78" t="s">
        <v>36</v>
      </c>
      <c r="C25" s="71"/>
      <c r="D25" s="72"/>
      <c r="E25" s="79">
        <f ca="1">SUM(D18:D23)</f>
        <v>-32.879999999999903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37</v>
      </c>
      <c r="C27" s="71"/>
      <c r="D27" s="72"/>
      <c r="E27" s="79">
        <f ca="1">E15+E25</f>
        <v>12017.12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38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39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40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8"/>
      <c r="F34" s="73"/>
    </row>
    <row r="35" spans="1:6" ht="18" customHeight="1" x14ac:dyDescent="0.25">
      <c r="A35" s="63"/>
      <c r="B35" s="74" t="s">
        <v>41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42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43</v>
      </c>
      <c r="C37" s="71"/>
      <c r="D37" s="72"/>
      <c r="E37" s="79">
        <f ca="1">SUM(D33:D36)</f>
        <v>0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44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asc""))"),-10522.2)</f>
        <v>-10522.2</v>
      </c>
      <c r="E40" s="68"/>
      <c r="F40" s="73"/>
    </row>
    <row r="41" spans="1:6" ht="18" customHeight="1" x14ac:dyDescent="0.25">
      <c r="A41" s="63"/>
      <c r="B41" s="74" t="s">
        <v>45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46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47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fee'""))"),-33.97)</f>
        <v>-33.97</v>
      </c>
      <c r="E43" s="68"/>
      <c r="F43" s="73"/>
    </row>
    <row r="44" spans="1:6" ht="18" customHeight="1" x14ac:dyDescent="0.25">
      <c r="A44" s="63"/>
      <c r="B44" s="74"/>
      <c r="C44" s="71" t="s">
        <v>48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(LEI)'""))"),0)</f>
        <v>0</v>
      </c>
      <c r="E44" s="68"/>
      <c r="F44" s="73"/>
    </row>
    <row r="45" spans="1:6" ht="18" customHeight="1" x14ac:dyDescent="0.25">
      <c r="A45" s="63"/>
      <c r="B45" s="74" t="s">
        <v>49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50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36</v>
      </c>
      <c r="C47" s="71"/>
      <c r="D47" s="72"/>
      <c r="E47" s="79">
        <f ca="1">SUM(D40:D46)</f>
        <v>-10556.17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51</v>
      </c>
      <c r="C49" s="71"/>
      <c r="D49" s="72"/>
      <c r="E49" s="79">
        <f ca="1">E37+E47</f>
        <v>-10556.17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52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53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54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55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56</v>
      </c>
      <c r="C60" s="71"/>
      <c r="D60" s="82">
        <f>'Vermögenswerte (Public)'!F15</f>
        <v>276.95</v>
      </c>
      <c r="E60" s="79"/>
      <c r="F60" s="73"/>
    </row>
    <row r="61" spans="1:6" ht="18" customHeight="1" x14ac:dyDescent="0.25">
      <c r="A61" s="63"/>
      <c r="B61" s="74" t="s">
        <v>57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58</v>
      </c>
      <c r="D62" s="82">
        <f>SUM('Vermögenswerte (Public)'!F12:F14)</f>
        <v>10958.48</v>
      </c>
      <c r="E62" s="79"/>
      <c r="F62" s="73"/>
    </row>
    <row r="63" spans="1:6" ht="18" customHeight="1" x14ac:dyDescent="0.25">
      <c r="A63" s="63"/>
      <c r="B63" s="74" t="s">
        <v>59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60</v>
      </c>
      <c r="C64" s="71"/>
      <c r="D64" s="76"/>
      <c r="E64" s="79">
        <f>SUM(D59:D63)</f>
        <v>11235.43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61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62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63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64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65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2023-03-11T09:40:20Z</dcterms:modified>
</cp:coreProperties>
</file>